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61EF8C50-C20E-4F4F-B53E-B728A3E2507D}" xr6:coauthVersionLast="44" xr6:coauthVersionMax="45" xr10:uidLastSave="{00000000-0000-0000-0000-000000000000}"/>
  <bookViews>
    <workbookView xWindow="-108" yWindow="-108" windowWidth="23256" windowHeight="12576" tabRatio="723" activeTab="2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P3" i="5" l="1"/>
  <c r="Q67" i="5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<sst xmlns="http://schemas.openxmlformats.org/spreadsheetml/2006/main" count="415" uniqueCount="72">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</sst>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AQ33" activePane="bottomRight" state="frozen"/>
      <selection activeCell="B1" sqref="B1"/>
      <selection pane="topRight" activeCell="D1" sqref="D1"/>
      <selection pane="bottomLeft" activeCell="B3" sqref="B3"/>
      <selection pane="bottomRight" activeCell="BM37" sqref="BM37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>
        <v>43886</v>
      </c>
      <c r="AO1" s="144"/>
      <c r="AP1" s="144"/>
      <c r="AQ1" s="144"/>
      <c r="AR1" s="145"/>
      <c r="AS1" s="143">
        <v>43893</v>
      </c>
      <c r="AT1" s="144"/>
      <c r="AU1" s="144"/>
      <c r="AV1" s="144"/>
      <c r="AW1" s="145"/>
      <c r="AX1" s="143">
        <v>43900</v>
      </c>
      <c r="AY1" s="144"/>
      <c r="AZ1" s="144"/>
      <c r="BA1" s="144"/>
      <c r="BB1" s="145"/>
      <c r="BC1" s="143">
        <v>43984</v>
      </c>
      <c r="BD1" s="144"/>
      <c r="BE1" s="144"/>
      <c r="BF1" s="144"/>
      <c r="BG1" s="145"/>
      <c r="BH1" s="143">
        <v>43991</v>
      </c>
      <c r="BI1" s="144"/>
      <c r="BJ1" s="144"/>
      <c r="BK1" s="144"/>
      <c r="BL1" s="145"/>
      <c r="BM1" s="151">
        <v>43998</v>
      </c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>
        <v>1</v>
      </c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8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>
        <v>1</v>
      </c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4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>
        <v>1</v>
      </c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4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>
        <v>0</v>
      </c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2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>
        <v>3</v>
      </c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47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>
        <v>34</v>
      </c>
      <c r="BN16" s="26">
        <v>169</v>
      </c>
      <c r="BO16" s="26">
        <v>0</v>
      </c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2942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>
        <f>IF(BM16&lt;&gt;"",AVERAGE($E$16:BM16),"")</f>
        <v>61.62222222222222</v>
      </c>
      <c r="BN17" s="111">
        <f>IF(BN16&lt;&gt;"",AVERAGE($E$16:BN16),"")</f>
        <v>63.956521739130437</v>
      </c>
      <c r="BO17" s="111">
        <f>IF(BO16&lt;&gt;"",AVERAGE($E$16:BO16),"")</f>
        <v>62.595744680851062</v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62.595744680851062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>
        <v>0</v>
      </c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14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>
        <v>0</v>
      </c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2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>
        <v>0</v>
      </c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2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>
        <v>1</v>
      </c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10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>
        <v>3</v>
      </c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44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>
        <v>2</v>
      </c>
      <c r="BN24" s="3">
        <v>121</v>
      </c>
      <c r="BO24" s="3">
        <v>28</v>
      </c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1634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>
        <f>IF(BM24&lt;&gt;"",AVERAGE($E24:BM24),"")</f>
        <v>35.357142857142854</v>
      </c>
      <c r="BN25" s="84">
        <f>IF(BN24&lt;&gt;"",AVERAGE($E24:BN24),"")</f>
        <v>37.348837209302324</v>
      </c>
      <c r="BO25" s="84">
        <f>IF(BO24&lt;&gt;"",AVERAGE($E24:BO24),"")</f>
        <v>37.136363636363633</v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37.136363636363633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>
        <v>0</v>
      </c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>
        <v>1</v>
      </c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4</v>
      </c>
      <c r="EF28" s="116">
        <f>SUM(EE27-EE28)</f>
        <v>-1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>
        <v>1</v>
      </c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5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>
        <v>1</v>
      </c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6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>
        <v>3</v>
      </c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36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>
        <v>72</v>
      </c>
      <c r="BN32" s="26">
        <v>75</v>
      </c>
      <c r="BO32" s="26">
        <v>16</v>
      </c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2226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>
        <f>IF(BM32&lt;&gt;"",AVERAGE($E32:BM32),"")</f>
        <v>62.794117647058826</v>
      </c>
      <c r="BN33" s="111">
        <f>IF(BN32&lt;&gt;"",AVERAGE($E32:BN32),"")</f>
        <v>63.142857142857146</v>
      </c>
      <c r="BO33" s="111">
        <f>IF(BO32&lt;&gt;"",AVERAGE($E32:BO32),"")</f>
        <v>61.833333333333336</v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61.833333333333336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>
        <v>1</v>
      </c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15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>
        <v>0</v>
      </c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4</v>
      </c>
      <c r="EF36" s="116">
        <f>SUM(EE35-EE36)</f>
        <v>11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>
        <v>0</v>
      </c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6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>
        <v>2</v>
      </c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12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>
        <v>3</v>
      </c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46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>
        <v>0</v>
      </c>
      <c r="BN40" s="3">
        <v>56</v>
      </c>
      <c r="BO40" s="3">
        <v>36</v>
      </c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2307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>
        <f>IF(BM40&lt;&gt;"",AVERAGE($E40:BM40),"")</f>
        <v>50.340909090909093</v>
      </c>
      <c r="BN41" s="84">
        <f>IF(BN40&lt;&gt;"",AVERAGE($E40:BN40),"")</f>
        <v>50.466666666666669</v>
      </c>
      <c r="BO41" s="84">
        <f>IF(BO40&lt;&gt;"",AVERAGE($E40:BO40),"")</f>
        <v>50.152173913043477</v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50.152173913043477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>
        <v>1</v>
      </c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3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>
        <v>0</v>
      </c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-7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>
        <v>0</v>
      </c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>
        <v>0</v>
      </c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8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>
        <v>2</v>
      </c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41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>
        <v>22</v>
      </c>
      <c r="BN56" s="3">
        <v>0</v>
      </c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3058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>
        <f>IF(BM56&lt;&gt;"",AVERAGE($E56:BM56),"")</f>
        <v>76.45</v>
      </c>
      <c r="BN57" s="84">
        <f>IF(BN56&lt;&gt;"",AVERAGE($E56:BN56),"")</f>
        <v>74.58536585365853</v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74.58536585365853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>
        <v>0</v>
      </c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>
        <v>1</v>
      </c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10</v>
      </c>
      <c r="EF60" s="116">
        <f>SUM(EE59-EE60)</f>
        <v>-10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>
        <v>3</v>
      </c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15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>
        <v>0</v>
      </c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>
        <v>1</v>
      </c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31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>
        <v>57</v>
      </c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2916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>
        <f>IF(BO64&lt;&gt;"",AVERAGE($E64:BO64),"")</f>
        <v>94.064516129032256</v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94.064516129032256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>
        <v>2</v>
      </c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2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>
        <v>0</v>
      </c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-1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>
        <v>0</v>
      </c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>
        <v>0</v>
      </c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>
        <v>3</v>
      </c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17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>
        <v>0</v>
      </c>
      <c r="BN72" s="3">
        <v>163</v>
      </c>
      <c r="BO72" s="3">
        <v>0</v>
      </c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1691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>
        <f>IF(BM72&lt;&gt;"",AVERAGE($E72:BM72),"")</f>
        <v>101.86666666666666</v>
      </c>
      <c r="BN73" s="84">
        <f>IF(BN72&lt;&gt;"",AVERAGE($E72:BN72),"")</f>
        <v>105.6875</v>
      </c>
      <c r="BO73" s="84">
        <f>IF(BO72&lt;&gt;"",AVERAGE($E72:BO72),"")</f>
        <v>99.470588235294116</v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99.470588235294116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>
        <v>1</v>
      </c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10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0</v>
      </c>
      <c r="BI76" s="26"/>
      <c r="BJ76" s="26"/>
      <c r="BK76" s="26"/>
      <c r="BL76" s="27"/>
      <c r="BM76" s="26">
        <v>0</v>
      </c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10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0</v>
      </c>
      <c r="BI77" s="26"/>
      <c r="BJ77" s="26"/>
      <c r="BK77" s="26"/>
      <c r="BL77" s="27"/>
      <c r="BM77" s="26">
        <v>0</v>
      </c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0</v>
      </c>
      <c r="BI78" s="26"/>
      <c r="BJ78" s="26"/>
      <c r="BK78" s="26"/>
      <c r="BL78" s="27"/>
      <c r="BM78" s="26">
        <v>0</v>
      </c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9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>
        <v>3</v>
      </c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36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>
        <v>3</v>
      </c>
      <c r="BN80" s="26">
        <v>45</v>
      </c>
      <c r="BO80" s="26">
        <v>0</v>
      </c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1493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>
        <f>IF(BM80&lt;&gt;"",AVERAGE($E80:BM80),"")</f>
        <v>42.588235294117645</v>
      </c>
      <c r="BN81" s="111">
        <f>IF(BN80&lt;&gt;"",AVERAGE($E80:BN80),"")</f>
        <v>42.657142857142858</v>
      </c>
      <c r="BO81" s="111">
        <f>IF(BO80&lt;&gt;"",AVERAGE($E80:BO80),"")</f>
        <v>41.472222222222221</v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41.472222222222221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>
        <v>0</v>
      </c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8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>
        <v>0</v>
      </c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8</v>
      </c>
      <c r="EF92" s="116">
        <f>SUM(EE91-EE92)</f>
        <v>0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>
        <v>0</v>
      </c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10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>
        <v>1</v>
      </c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5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>
        <v>3</v>
      </c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40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>
        <v>18</v>
      </c>
      <c r="BN96" s="26">
        <v>59</v>
      </c>
      <c r="BO96" s="26">
        <v>20</v>
      </c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3093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>
        <f>IF(BM96&lt;&gt;"",AVERAGE($E96:BM96),"")</f>
        <v>79.315789473684205</v>
      </c>
      <c r="BN97" s="111">
        <f>IF(BN96&lt;&gt;"",AVERAGE($E96:BN96),"")</f>
        <v>78.794871794871796</v>
      </c>
      <c r="BO97" s="111">
        <f>IF(BO96&lt;&gt;"",AVERAGE($E96:BO96),"")</f>
        <v>77.325000000000003</v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77.325000000000003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16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>
        <f>IFERROR(IF(INDEX(Přehled_body!$E$1:$ED$1,1,MATCH(Tabulka!O2,Přehled_body!$D$1:$ED$1,0)+4)="","",INDEX(Přehled_body!$E$1:$ED$1,1,MATCH(Tabulka!O2,Přehled_body!$D$1:$ED$1,0)+4)),"")</f>
        <v>43998</v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>
        <f t="shared" si="0"/>
        <v>9</v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1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8.00000000006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1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4.00000000008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1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4.00000000008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9.9999999999999994E-12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2.0000000001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3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47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9.9999999999999994E-12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14.00000000002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9.9999999999999994E-12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2.0000000001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9.9999999999999994E-12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2.0000000001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1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10.000000000049997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3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44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9.9999999999999994E-12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3.00000000007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1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4.00000000006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1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5.00000000006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1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6.00000000004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3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36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1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15.000000000029999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9.9999999999999994E-12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4.00000000008</v>
      </c>
      <c r="AF25" s="140">
        <f>IF(AE28&gt;0.9,SUM(AE24-AE25)+0.00000001,0)</f>
        <v>11.00000000995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9.9999999999999994E-12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6.00000000008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2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12.000000000059998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3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46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1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3.00000000009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9.9999999999999994E-12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10.000000000049999</v>
      </c>
      <c r="AF35" s="140">
        <f>IF(AE38&gt;0.9,SUM(AE34-AE35)+0.00000001,0)</f>
        <v>-6.9999999899599992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9.9999999999999994E-12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15.000000000049999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9.9999999999999994E-12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8.0000000000699991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2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41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9.9999999999999994E-12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1.1000000000000002E-10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1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10.000000000039998</v>
      </c>
      <c r="AF40" s="140">
        <f>IF(AE43&gt;0.9,SUM(AE39-AE40)+0.00000001,0)</f>
        <v>-9.9999999899299983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3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15.000000000039998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9.9999999999999994E-12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5.00000000006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1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31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2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2.00000000004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9.9999999999999994E-12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3.00000000003</v>
      </c>
      <c r="AF45" s="140">
        <f>IF(AE48&gt;0.9,SUM(AE44-AE45)+0.00000001,0)</f>
        <v>-0.99999998998999995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9.9999999999999994E-12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3.00000000003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9.9999999999999994E-12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4.9999999999999995E-11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3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17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1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10.000000000029999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9.9999999999999994E-12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9.9999999999999994E-12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1.0000000000000002E-10</v>
      </c>
      <c r="AF50" s="140">
        <f>IF(AE53&gt;0.9,SUM(AE49-AE50)+0.00000001,0)</f>
        <v>10.00000000993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9.9999999999999994E-12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9.9999999999999994E-12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1.0000000000000002E-10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9.9999999999999994E-12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9.9999999999999994E-12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9.0000000000399982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3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36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9.9999999999999994E-12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8.0000000000599965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9.9999999999999994E-12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8.0000000000499973</v>
      </c>
      <c r="AF60" s="140">
        <f>IF(AE63&gt;0.9,SUM(AE59-AE60)+0.00000001,0)</f>
        <v>1.0009999112648984E-8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9.9999999999999994E-12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10.000000000049997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1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5.00000000007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3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40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tabSelected="1"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16.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12.000000009920001</v>
      </c>
      <c r="D3" s="18">
        <f>INDEX(Tabulka!$A$4:$AF$84,MATCH(B3,Tabulka!$A$4:$A$84,0)-1,31)</f>
        <v>14.00000000002</v>
      </c>
      <c r="E3" s="18">
        <f>INDEX(Tabulka!$B$4:$AF$84,MATCH(B3,Tabulka!$A$4:$A$84,0)+3,30)</f>
        <v>44</v>
      </c>
      <c r="F3" s="18">
        <f>INDEX(Tabulka!$B$4:$AF$84,MATCH(B3,Tabulka!$A$4:$A$84,0),30)</f>
        <v>2.0000000001</v>
      </c>
      <c r="G3" s="18">
        <f>INDEX(Tabulka!$B$4:$AF$84,MATCH(B3,Tabulka!$A$4:$A$84,0)+2,30)</f>
        <v>10.000000000049997</v>
      </c>
      <c r="H3" s="19">
        <f>INDEX(Tabulka!$B$4:$AF$84,MATCH(B3,Tabulka!$A$4:$A$84,0)+1,30)</f>
        <v>2.0000000001</v>
      </c>
      <c r="L3" s="31" t="str">
        <f>IFERROR(List4!AB2,"")</f>
        <v>Petr Weiner</v>
      </c>
      <c r="M3" s="52">
        <f>IFERROR(List4!AA2,"")</f>
        <v>37.13636583636363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11.00000000995</v>
      </c>
      <c r="D4" s="12">
        <f>INDEX(Tabulka!$A$4:$AF$84,MATCH(B4,Tabulka!$A$4:$A$84,0)-1,31)</f>
        <v>15.000000000029999</v>
      </c>
      <c r="E4" s="12">
        <f>INDEX(Tabulka!$B$4:$AF$84,MATCH(B4,Tabulka!$A$4:$A$84,0)+3,30)</f>
        <v>46</v>
      </c>
      <c r="F4" s="12">
        <f>INDEX(Tabulka!$B$4:$AF$84,MATCH(B4,Tabulka!$A$4:$A$84,0),30)</f>
        <v>4.00000000008</v>
      </c>
      <c r="G4" s="12">
        <f>INDEX(Tabulka!$B$4:$AF$84,MATCH(B4,Tabulka!$A$4:$A$84,0)+2,30)</f>
        <v>12.000000000059998</v>
      </c>
      <c r="H4" s="13">
        <f>INDEX(Tabulka!$B$4:$AF$84,MATCH(B4,Tabulka!$A$4:$A$84,0)+1,30)</f>
        <v>6.00000000008</v>
      </c>
      <c r="J4" s="32"/>
      <c r="L4" s="31" t="str">
        <f>IFERROR(List4!AB3,"")</f>
        <v>Jarda Klein</v>
      </c>
      <c r="M4" s="52">
        <f>IFERROR(List4!AA3,"")</f>
        <v>41.472224402222224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10.00000000993</v>
      </c>
      <c r="D5" s="12">
        <f>INDEX(Tabulka!$A$4:$AF$84,MATCH(B5,Tabulka!$A$4:$A$84,0)-1,31)</f>
        <v>10.000000000029999</v>
      </c>
      <c r="E5" s="12">
        <f>INDEX(Tabulka!$B$4:$AF$84,MATCH(B5,Tabulka!$A$4:$A$84,0)+3,30)</f>
        <v>36</v>
      </c>
      <c r="F5" s="12">
        <f>INDEX(Tabulka!$B$4:$AF$84,MATCH(B5,Tabulka!$A$4:$A$84,0),30)</f>
        <v>1.0000000000000002E-10</v>
      </c>
      <c r="G5" s="12">
        <f>INDEX(Tabulka!$B$4:$AF$84,MATCH(B5,Tabulka!$A$4:$A$84,0)+2,30)</f>
        <v>9.0000000000399982</v>
      </c>
      <c r="H5" s="13">
        <f>INDEX(Tabulka!$B$4:$AF$84,MATCH(B5,Tabulka!$A$4:$A$84,0)+1,30)</f>
        <v>1.0000000000000002E-10</v>
      </c>
      <c r="J5" s="32"/>
      <c r="L5" s="31" t="str">
        <f>IFERROR(List4!AB4,"")</f>
        <v>Kuba Šedivý</v>
      </c>
      <c r="M5" s="52">
        <f>IFERROR(List4!AA4,"")</f>
        <v>43.809525969523811</v>
      </c>
      <c r="Q5" s="8" t="s">
        <v>39</v>
      </c>
    </row>
    <row r="6" spans="1:17" ht="17.399999999999999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4.0000000099799999</v>
      </c>
      <c r="D6" s="12">
        <f>INDEX(Tabulka!$A$4:$AF$84,MATCH(B6,Tabulka!$A$4:$A$84,0)-1,31)</f>
        <v>8.00000000006</v>
      </c>
      <c r="E6" s="12">
        <f>INDEX(Tabulka!$B$4:$AF$84,MATCH(B6,Tabulka!$A$4:$A$84,0)+3,30)</f>
        <v>47</v>
      </c>
      <c r="F6" s="12">
        <f>INDEX(Tabulka!$B$4:$AF$84,MATCH(B6,Tabulka!$A$4:$A$84,0),30)</f>
        <v>4.00000000008</v>
      </c>
      <c r="G6" s="12">
        <f>INDEX(Tabulka!$B$4:$AF$84,MATCH(B6,Tabulka!$A$4:$A$84,0)+2,30)</f>
        <v>2.0000000001</v>
      </c>
      <c r="H6" s="13">
        <f>INDEX(Tabulka!$B$4:$AF$84,MATCH(B6,Tabulka!$A$4:$A$84,0)+1,30)</f>
        <v>4.00000000008</v>
      </c>
      <c r="J6" s="32"/>
      <c r="L6" s="31" t="str">
        <f>IFERROR(List4!AB5,"")</f>
        <v>Milan Veselý</v>
      </c>
      <c r="M6" s="52">
        <f>IFERROR(List4!AA5,"")</f>
        <v>50.152176103043473</v>
      </c>
      <c r="Q6" s="8" t="s">
        <v>25</v>
      </c>
    </row>
    <row r="7" spans="1:17" ht="17.399999999999999">
      <c r="A7" s="55">
        <v>5</v>
      </c>
      <c r="B7" s="10" t="str">
        <f>List4!S6</f>
        <v>Kuba Šedivý</v>
      </c>
      <c r="C7" s="21">
        <f>IF(List4!K6&lt;-88888,-90000,INDEX(Tabulka!$B$4:$AF$84,MATCH(B7,Tabulka!$A$4:$A$84,0),31))</f>
        <v>4.0000000099699999</v>
      </c>
      <c r="D7" s="12">
        <f>INDEX(Tabulka!$A$4:$AF$84,MATCH(B7,Tabulka!$A$4:$A$84,0)-1,31)</f>
        <v>7</v>
      </c>
      <c r="E7" s="12">
        <f>INDEX(Tabulka!$B$4:$AF$84,MATCH(B7,Tabulka!$A$4:$A$84,0)+3,30)</f>
        <v>21</v>
      </c>
      <c r="F7" s="12">
        <f>INDEX(Tabulka!$B$4:$AF$84,MATCH(B7,Tabulka!$A$4:$A$84,0),30)</f>
        <v>3.00000000003</v>
      </c>
      <c r="G7" s="12">
        <f>INDEX(Tabulka!$B$4:$AF$84,MATCH(B7,Tabulka!$A$4:$A$84,0)+2,30)</f>
        <v>5.00000000002</v>
      </c>
      <c r="H7" s="13">
        <f>INDEX(Tabulka!$B$4:$AF$84,MATCH(B7,Tabulka!$A$4:$A$84,0)+1,30)</f>
        <v>5.00000000003</v>
      </c>
      <c r="J7" s="32"/>
      <c r="L7" s="31" t="str">
        <f>IFERROR(List4!AB6,"")</f>
        <v>Pavel Pernekr</v>
      </c>
      <c r="M7" s="52">
        <f>IFERROR(List4!AA6,"")</f>
        <v>61.833335473333335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1.0009999112648984E-8</v>
      </c>
      <c r="D8" s="12">
        <f>INDEX(Tabulka!$A$4:$AF$84,MATCH(B8,Tabulka!$A$4:$A$84,0)-1,31)</f>
        <v>8.0000000000599965</v>
      </c>
      <c r="E8" s="12">
        <f>INDEX(Tabulka!$B$4:$AF$84,MATCH(B8,Tabulka!$A$4:$A$84,0)+3,30)</f>
        <v>40</v>
      </c>
      <c r="F8" s="12">
        <f>INDEX(Tabulka!$B$4:$AF$84,MATCH(B8,Tabulka!$A$4:$A$84,0),30)</f>
        <v>8.0000000000499973</v>
      </c>
      <c r="G8" s="12">
        <f>INDEX(Tabulka!$B$4:$AF$84,MATCH(B8,Tabulka!$A$4:$A$84,0)+2,30)</f>
        <v>5.00000000007</v>
      </c>
      <c r="H8" s="13">
        <f>INDEX(Tabulka!$B$4:$AF$84,MATCH(B8,Tabulka!$A$4:$A$84,0)+1,30)</f>
        <v>10.000000000049997</v>
      </c>
      <c r="J8" s="32"/>
      <c r="L8" s="31" t="str">
        <f>IFERROR(List4!AB7,"")</f>
        <v>Libor Hruška</v>
      </c>
      <c r="M8" s="52">
        <f>IFERROR(List4!AA7,"")</f>
        <v>62.595746850851064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3.00000000007</v>
      </c>
      <c r="E9" s="12">
        <f>INDEX(Tabulka!$B$4:$AF$84,MATCH(B9,Tabulka!$A$4:$A$84,0)+3,30)</f>
        <v>36</v>
      </c>
      <c r="F9" s="12">
        <f>INDEX(Tabulka!$B$4:$AF$84,MATCH(B9,Tabulka!$A$4:$A$84,0),30)</f>
        <v>4.00000000006</v>
      </c>
      <c r="G9" s="12">
        <f>INDEX(Tabulka!$B$4:$AF$84,MATCH(B9,Tabulka!$A$4:$A$84,0)+2,30)</f>
        <v>6.00000000004</v>
      </c>
      <c r="H9" s="13">
        <f>INDEX(Tabulka!$B$4:$AF$84,MATCH(B9,Tabulka!$A$4:$A$84,0)+1,30)</f>
        <v>5.00000000006</v>
      </c>
      <c r="L9" s="31" t="str">
        <f>IFERROR(List4!AB8,"")</f>
        <v>Míra Šedivý</v>
      </c>
      <c r="M9" s="52">
        <f>IFERROR(List4!AA8,"")</f>
        <v>63.538463658461538</v>
      </c>
      <c r="Q9" s="8" t="s">
        <v>49</v>
      </c>
    </row>
    <row r="10" spans="1:17" ht="17.399999999999999">
      <c r="A10" s="55">
        <v>8</v>
      </c>
      <c r="B10" s="10" t="str">
        <f>List4!S9</f>
        <v>Míra Chalupník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2.00000000004</v>
      </c>
      <c r="E10" s="12">
        <f>INDEX(Tabulka!$B$4:$AF$84,MATCH(B10,Tabulka!$A$4:$A$84,0)+3,30)</f>
        <v>17</v>
      </c>
      <c r="F10" s="12">
        <f>INDEX(Tabulka!$B$4:$AF$84,MATCH(B10,Tabulka!$A$4:$A$84,0),30)</f>
        <v>3.00000000003</v>
      </c>
      <c r="G10" s="12">
        <f>INDEX(Tabulka!$B$4:$AF$84,MATCH(B10,Tabulka!$A$4:$A$84,0)+2,30)</f>
        <v>4.9999999999999995E-11</v>
      </c>
      <c r="H10" s="13">
        <f>INDEX(Tabulka!$B$4:$AF$84,MATCH(B10,Tabulka!$A$4:$A$84,0)+1,30)</f>
        <v>3.00000000003</v>
      </c>
      <c r="L10" s="31" t="str">
        <f>IFERROR(List4!AB9,"")</f>
        <v>Jiří Blín</v>
      </c>
      <c r="M10" s="52">
        <f>IFERROR(List4!AA9,"")</f>
        <v>74.585367963658527</v>
      </c>
    </row>
    <row r="11" spans="1:17" ht="17.399999999999999">
      <c r="A11" s="55">
        <v>9</v>
      </c>
      <c r="B11" s="10" t="str">
        <f>List4!S10</f>
        <v>Míra Šedivý</v>
      </c>
      <c r="C11" s="21">
        <f>IF(List4!K10&lt;-88888,-90000,INDEX(Tabulka!$B$4:$AF$84,MATCH(B11,Tabulka!$A$4:$A$84,0),31))</f>
        <v>-0.99999998998999995</v>
      </c>
      <c r="D11" s="12">
        <f>INDEX(Tabulka!$A$4:$AF$84,MATCH(B11,Tabulka!$A$4:$A$84,0)-1,31)</f>
        <v>1.00000000002</v>
      </c>
      <c r="E11" s="12">
        <f>INDEX(Tabulka!$B$4:$AF$84,MATCH(B11,Tabulka!$A$4:$A$84,0)+3,30)</f>
        <v>13</v>
      </c>
      <c r="F11" s="12">
        <f>INDEX(Tabulka!$B$4:$AF$84,MATCH(B11,Tabulka!$A$4:$A$84,0),30)</f>
        <v>2.00000000001</v>
      </c>
      <c r="G11" s="12">
        <f>INDEX(Tabulka!$B$4:$AF$84,MATCH(B11,Tabulka!$A$4:$A$84,0)+2,30)</f>
        <v>4.00000000001</v>
      </c>
      <c r="H11" s="13">
        <f>INDEX(Tabulka!$B$4:$AF$84,MATCH(B11,Tabulka!$A$4:$A$84,0)+1,30)</f>
        <v>3.00000000001</v>
      </c>
      <c r="L11" s="31" t="str">
        <f>IFERROR(List4!AB10,"")</f>
        <v>Standa Roth</v>
      </c>
      <c r="M11" s="52">
        <f>IFERROR(List4!AA10,"")</f>
        <v>77.325002150000003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-6.9999999899599992</v>
      </c>
      <c r="D12" s="12">
        <f>INDEX(Tabulka!$A$4:$AF$84,MATCH(B12,Tabulka!$A$4:$A$84,0)-1,31)</f>
        <v>3.00000000009</v>
      </c>
      <c r="E12" s="12">
        <f>INDEX(Tabulka!$B$4:$AF$84,MATCH(B12,Tabulka!$A$4:$A$84,0)+3,30)</f>
        <v>41</v>
      </c>
      <c r="F12" s="12">
        <f>INDEX(Tabulka!$B$4:$AF$84,MATCH(B12,Tabulka!$A$4:$A$84,0),30)</f>
        <v>10.000000000049999</v>
      </c>
      <c r="G12" s="12">
        <f>INDEX(Tabulka!$B$4:$AF$84,MATCH(B12,Tabulka!$A$4:$A$84,0)+2,30)</f>
        <v>8.0000000000699991</v>
      </c>
      <c r="H12" s="13">
        <f>INDEX(Tabulka!$B$4:$AF$84,MATCH(B12,Tabulka!$A$4:$A$84,0)+1,30)</f>
        <v>15.000000000049999</v>
      </c>
      <c r="L12" s="31" t="str">
        <f>IFERROR(List4!AB11,"")</f>
        <v>Adam Šmíd</v>
      </c>
      <c r="M12" s="52">
        <f>IFERROR(List4!AA11,"")</f>
        <v>94.064518229032259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-9.9999999899299983</v>
      </c>
      <c r="D13" s="12">
        <f>INDEX(Tabulka!$A$4:$AF$84,MATCH(B13,Tabulka!$A$4:$A$84,0)-1,31)</f>
        <v>1.1000000000000002E-10</v>
      </c>
      <c r="E13" s="12">
        <f>INDEX(Tabulka!$B$4:$AF$84,MATCH(B13,Tabulka!$A$4:$A$84,0)+3,30)</f>
        <v>31</v>
      </c>
      <c r="F13" s="12">
        <f>INDEX(Tabulka!$B$4:$AF$84,MATCH(B13,Tabulka!$A$4:$A$84,0),30)</f>
        <v>10.000000000039998</v>
      </c>
      <c r="G13" s="12">
        <f>INDEX(Tabulka!$B$4:$AF$84,MATCH(B13,Tabulka!$A$4:$A$84,0)+2,30)</f>
        <v>5.00000000006</v>
      </c>
      <c r="H13" s="13">
        <f>INDEX(Tabulka!$B$4:$AF$84,MATCH(B13,Tabulka!$A$4:$A$84,0)+1,30)</f>
        <v>15.000000000039998</v>
      </c>
      <c r="L13" s="31" t="str">
        <f>IFERROR(List4!AB12,"")</f>
        <v>Míra Chalupník</v>
      </c>
      <c r="M13" s="52">
        <f>IFERROR(List4!AA12,"")</f>
        <v>99.470590365294115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-6.9999977899599992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12.000002089920001</v>
      </c>
      <c r="L2" s="141">
        <f>INDEX(Tabulka!$A$4:$AF$84,MATCH(J2,Tabulka!$A$4:$A$84,0)-1,31)+INDEX($D$2:$E$14,MATCH(K2,$C$2:$C$14,0),2)</f>
        <v>14.00000208002</v>
      </c>
      <c r="M2" s="141">
        <f>INDEX(Tabulka!$A$4:$AF$80,MATCH(List4!$J2,Tabulka!$A$4:$A$80,0)+3,31)+INDEX($D$2:$E$14,MATCH(K2,$C$2:$C$14,0),2)</f>
        <v>44.000002080000002</v>
      </c>
      <c r="N2" s="141">
        <f>INDEX(Tabulka!$B$4:$AF$84,MATCH(J2,Tabulka!$A$4:$A$84,0),30)+INDEX($D$2:$E$14,MATCH(K2,$C$2:$C$14,0),2)</f>
        <v>2.0000020800999998</v>
      </c>
      <c r="O2" s="141">
        <f>INDEX(Tabulka!$B$4:$AF$84,MATCH(J2,Tabulka!$A$4:$A$84,0)+2,30)+INDEX($D$2:$E$14,MATCH(K2,$C$2:$C$14,0),2)</f>
        <v>10.000002080049997</v>
      </c>
      <c r="P2" s="141">
        <f>INDEX(Tabulka!$B$4:$AF$84,MATCH(J2,Tabulka!$A$4:$A$84,0)+1,30)+INDEX($D$2:$E$14,MATCH(K2,$C$2:$C$14,0),2)</f>
        <v>2.0000020800999998</v>
      </c>
      <c r="Q2" s="6">
        <f t="shared" ref="Q2:Q14" si="4">IF(K2&lt;-888,K2*100000,K2*138000+IF(K2&lt;0,IF(AVERAGE($M$2:$M$14)-20&lt;M2,M2*100,M2*150),IF(AVERAGE($M$2:$M$14)-20&lt;M2,M2*-100,M2*-150)+P2*-100+O2*-20+L2*4000))</f>
        <v>1707200.2962714289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1707200.2962714289</v>
      </c>
      <c r="U2" s="50">
        <f t="shared" ref="U2:U14" si="7">INDEX($K$2:$K$14,MATCH($S2,$J$2:$J$14,0))</f>
        <v>12.000002089920001</v>
      </c>
      <c r="V2" s="50">
        <f t="shared" ref="V2:V14" si="8">INDEX($K$2:$K$14,MATCH($S2,$J$2:$J$14,0))*-1</f>
        <v>-12.000002089920001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37.13636583636363</v>
      </c>
      <c r="X2" s="43">
        <v>1</v>
      </c>
      <c r="Y2" s="51">
        <f t="shared" ref="Y2:Y14" si="9">IF(OR($AA$1="Výhry",$AA$1="Poč. kol")=TRUE,LARGE($W$2:$W$14,X2),SMALL($W$2:$W$14,X2))</f>
        <v>37.13636583636363</v>
      </c>
      <c r="Z2" s="51"/>
      <c r="AA2" s="51">
        <f t="shared" ref="AA2:AA14" si="10">IF(ROUND(ABS(W2),0)=ABS(90000),"Neklas",IF(OR($AA$1="Výhry",$AA$1="Poč. kol")=TRUE,LARGE($W$2:$W$14,X2),SMALL($W$2:$W$14,X2)))</f>
        <v>37.13636583636363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11.000002099950001</v>
      </c>
      <c r="L3" s="141">
        <f>INDEX(Tabulka!$A$4:$AF$84,MATCH(J3,Tabulka!$A$4:$A$84,0)-1,31)+INDEX($D$2:$E$14,MATCH(K3,$C$2:$C$14,0),2)</f>
        <v>15.00000209003</v>
      </c>
      <c r="M3" s="141">
        <f>INDEX(Tabulka!$A$4:$AF$80,MATCH(List4!$J3,Tabulka!$A$4:$A$80,0)+3,31)+INDEX($D$2:$E$14,MATCH(K3,$C$2:$C$14,0),2)</f>
        <v>46.000002090000002</v>
      </c>
      <c r="N3" s="141">
        <f>INDEX(Tabulka!$B$4:$AF$84,MATCH(J3,Tabulka!$A$4:$A$84,0),30)+INDEX($D$2:$E$14,MATCH(K3,$C$2:$C$14,0),2)</f>
        <v>4.0000020900799997</v>
      </c>
      <c r="O3" s="141">
        <f>INDEX(Tabulka!$B$4:$AF$84,MATCH(J3,Tabulka!$A$4:$A$84,0)+2,30)+INDEX($D$2:$E$14,MATCH(K3,$C$2:$C$14,0),2)</f>
        <v>12.000002090059999</v>
      </c>
      <c r="P3" s="141">
        <f>INDEX(Tabulka!$B$4:$AF$84,MATCH(J3,Tabulka!$A$4:$A$84,0)+1,30)+INDEX($D$2:$E$14,MATCH(K3,$C$2:$C$14,0),2)</f>
        <v>6.0000020900799997</v>
      </c>
      <c r="Q3" s="6">
        <f t="shared" si="4"/>
        <v>1572560.2976934109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1572560.2976934109</v>
      </c>
      <c r="U3" s="50">
        <f t="shared" si="7"/>
        <v>11.000002099950001</v>
      </c>
      <c r="V3" s="50">
        <f t="shared" si="8"/>
        <v>-11.000002099950001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50.152176103043473</v>
      </c>
      <c r="X3" s="43">
        <v>2</v>
      </c>
      <c r="Y3" s="51">
        <f t="shared" si="9"/>
        <v>41.472224402222224</v>
      </c>
      <c r="Z3" s="51"/>
      <c r="AA3" s="51">
        <f t="shared" si="10"/>
        <v>41.472224402222224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10.000002169929999</v>
      </c>
      <c r="L4" s="141">
        <f>INDEX(Tabulka!$A$4:$AF$84,MATCH(J4,Tabulka!$A$4:$A$84,0)-1,31)+INDEX($D$2:$E$14,MATCH(K4,$C$2:$C$14,0),2)</f>
        <v>10.000002160029998</v>
      </c>
      <c r="M4" s="141">
        <f>INDEX(Tabulka!$A$4:$AF$80,MATCH(List4!$J4,Tabulka!$A$4:$A$80,0)+3,31)+INDEX($D$2:$E$14,MATCH(K4,$C$2:$C$14,0),2)</f>
        <v>36.000002160000001</v>
      </c>
      <c r="N4" s="142">
        <f>INDEX(Tabulka!$B$4:$AF$84,MATCH(J4,Tabulka!$A$4:$A$84,0),30)+INDEX($D$2:$E$14,MATCH(K4,$C$2:$C$14,0),2)</f>
        <v>2.1601000000000003E-6</v>
      </c>
      <c r="O4" s="141">
        <f>INDEX(Tabulka!$B$4:$AF$84,MATCH(J4,Tabulka!$A$4:$A$84,0)+2,30)+INDEX($D$2:$E$14,MATCH(K4,$C$2:$C$14,0),2)</f>
        <v>9.0000021600399975</v>
      </c>
      <c r="P4" s="141">
        <f>INDEX(Tabulka!$B$4:$AF$84,MATCH(J4,Tabulka!$A$4:$A$84,0)+1,30)+INDEX($D$2:$E$14,MATCH(K4,$C$2:$C$14,0),2)</f>
        <v>2.1601000000000003E-6</v>
      </c>
      <c r="Q4" s="6">
        <f t="shared" si="4"/>
        <v>1416220.3076152492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1416220.3076152492</v>
      </c>
      <c r="U4" s="50">
        <f t="shared" si="7"/>
        <v>10.000002169929999</v>
      </c>
      <c r="V4" s="50">
        <f t="shared" si="8"/>
        <v>-10.000002169929999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41.472224402222224</v>
      </c>
      <c r="X4" s="43">
        <v>3</v>
      </c>
      <c r="Y4" s="51">
        <f t="shared" si="9"/>
        <v>43.809525969523811</v>
      </c>
      <c r="Z4" s="51"/>
      <c r="AA4" s="51">
        <f t="shared" si="10"/>
        <v>43.809525969523811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-0.99999781998999993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8.0000021800599992</v>
      </c>
      <c r="M5" s="141">
        <f>INDEX(Tabulka!$A$4:$AF$80,MATCH(List4!$J5,Tabulka!$A$4:$A$80,0)+3,31)+INDEX($D$2:$E$14,MATCH(K5,$C$2:$C$14,0),2)</f>
        <v>47.000002180000003</v>
      </c>
      <c r="N5" s="141">
        <f>INDEX(Tabulka!$B$4:$AF$84,MATCH(J5,Tabulka!$A$4:$A$84,0),30)+INDEX($D$2:$E$14,MATCH(K5,$C$2:$C$14,0),2)</f>
        <v>4.0000021800800001</v>
      </c>
      <c r="O5" s="141">
        <f>INDEX(Tabulka!$B$4:$AF$84,MATCH(J5,Tabulka!$A$4:$A$84,0)+2,30)+INDEX($D$2:$E$14,MATCH(K5,$C$2:$C$14,0),2)</f>
        <v>2.0000021801000001</v>
      </c>
      <c r="P5" s="141">
        <f>INDEX(Tabulka!$B$4:$AF$84,MATCH(J5,Tabulka!$A$4:$A$84,0)+1,30)+INDEX($D$2:$E$14,MATCH(K5,$C$2:$C$14,0),2)</f>
        <v>4.0000021800800001</v>
      </c>
      <c r="Q5" s="6">
        <f t="shared" si="4"/>
        <v>578860.31045787001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578860.31045787001</v>
      </c>
      <c r="U5" s="50">
        <f t="shared" si="7"/>
        <v>4.00000218998</v>
      </c>
      <c r="V5" s="50">
        <f t="shared" si="8"/>
        <v>-4.00000218998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62.595746850851064</v>
      </c>
      <c r="X5" s="43">
        <v>4</v>
      </c>
      <c r="Y5" s="51">
        <f t="shared" si="9"/>
        <v>50.152176103043473</v>
      </c>
      <c r="Z5" s="51"/>
      <c r="AA5" s="51">
        <f t="shared" si="10"/>
        <v>50.152176103043473</v>
      </c>
      <c r="AB5" s="43" t="str">
        <f t="shared" si="11"/>
        <v>Milan Veselý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10.000002169929999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Kuba Šedivý</v>
      </c>
      <c r="T6" s="49">
        <f t="shared" si="6"/>
        <v>577300.30336725665</v>
      </c>
      <c r="U6" s="50">
        <f t="shared" si="7"/>
        <v>4.0000021399700003</v>
      </c>
      <c r="V6" s="50">
        <f t="shared" si="8"/>
        <v>-4.0000021399700003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43.809525969523811</v>
      </c>
      <c r="X6" s="43">
        <v>5</v>
      </c>
      <c r="Y6" s="51">
        <f t="shared" si="9"/>
        <v>61.833335473333335</v>
      </c>
      <c r="Z6" s="51"/>
      <c r="AA6" s="51">
        <f t="shared" si="10"/>
        <v>61.833335473333335</v>
      </c>
      <c r="AB6" s="43" t="str">
        <f t="shared" si="11"/>
        <v>Pavel Pernekr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Standa Roth</v>
      </c>
      <c r="K7" s="41">
        <f t="shared" si="3"/>
        <v>2.1500099991126496E-6</v>
      </c>
      <c r="L7" s="141">
        <f>INDEX(Tabulka!$A$4:$AF$84,MATCH(J7,Tabulka!$A$4:$A$84,0)-1,31)+INDEX($D$2:$E$14,MATCH(K7,$C$2:$C$14,0),2)</f>
        <v>8.0000021400599959</v>
      </c>
      <c r="M7" s="141">
        <f>INDEX(Tabulka!$A$4:$AF$80,MATCH(List4!$J7,Tabulka!$A$4:$A$80,0)+3,31)+INDEX($D$2:$E$14,MATCH(K7,$C$2:$C$14,0),2)</f>
        <v>40.000002139999999</v>
      </c>
      <c r="N7" s="141">
        <f>INDEX(Tabulka!$B$4:$AF$84,MATCH(J7,Tabulka!$A$4:$A$84,0),30)+INDEX($D$2:$E$14,MATCH(K7,$C$2:$C$14,0),2)</f>
        <v>8.0000021400499968</v>
      </c>
      <c r="O7" s="141">
        <f>INDEX(Tabulka!$B$4:$AF$84,MATCH(J7,Tabulka!$A$4:$A$84,0)+2,30)+INDEX($D$2:$E$14,MATCH(K7,$C$2:$C$14,0),2)</f>
        <v>5.0000021400700003</v>
      </c>
      <c r="P7" s="141">
        <f>INDEX(Tabulka!$B$4:$AF$84,MATCH(J7,Tabulka!$A$4:$A$84,0)+1,30)+INDEX($D$2:$E$14,MATCH(K7,$C$2:$C$14,0),2)</f>
        <v>10.000002140049997</v>
      </c>
      <c r="Q7" s="6">
        <f t="shared" si="4"/>
        <v>26900.304790813461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26900.304790813461</v>
      </c>
      <c r="U7" s="50">
        <f t="shared" si="7"/>
        <v>2.1500099991126496E-6</v>
      </c>
      <c r="V7" s="50">
        <f t="shared" si="8"/>
        <v>-2.1500099991126496E-6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77.325002150000003</v>
      </c>
      <c r="X7" s="43">
        <v>6</v>
      </c>
      <c r="Y7" s="51">
        <f t="shared" si="9"/>
        <v>62.595746850851064</v>
      </c>
      <c r="Z7" s="51"/>
      <c r="AA7" s="51">
        <f t="shared" si="10"/>
        <v>62.595746850851064</v>
      </c>
      <c r="AB7" s="43" t="str">
        <f t="shared" si="11"/>
        <v>Libor Hruška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2.1500099991126496E-6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Míra Chalupník</v>
      </c>
      <c r="K8" s="41">
        <f t="shared" si="3"/>
        <v>-0.99999781998999993</v>
      </c>
      <c r="L8" s="141">
        <f>INDEX(Tabulka!$A$4:$AF$84,MATCH(J8,Tabulka!$A$4:$A$84,0)-1,31)+INDEX($D$2:$E$14,MATCH(K8,$C$2:$C$14,0),2)</f>
        <v>2.0000021700400001</v>
      </c>
      <c r="M8" s="141">
        <f>INDEX(Tabulka!$A$4:$AF$80,MATCH(List4!$J8,Tabulka!$A$4:$A$80,0)+3,31)+INDEX($D$2:$E$14,MATCH(K8,$C$2:$C$14,0),2)</f>
        <v>17.000002169999998</v>
      </c>
      <c r="N8" s="141">
        <f>INDEX(Tabulka!$B$4:$AF$84,MATCH(J8,Tabulka!$A$4:$A$84,0),30)+INDEX($D$2:$E$14,MATCH(K8,$C$2:$C$14,0),2)</f>
        <v>3.0000021700300001</v>
      </c>
      <c r="O8" s="141">
        <f>INDEX(Tabulka!$B$4:$AF$84,MATCH(J8,Tabulka!$A$4:$A$84,0)+2,30)+INDEX($D$2:$E$14,MATCH(K8,$C$2:$C$14,0),2)</f>
        <v>2.1700500000000005E-6</v>
      </c>
      <c r="P8" s="141">
        <f>INDEX(Tabulka!$B$4:$AF$84,MATCH(J8,Tabulka!$A$4:$A$84,0)+1,30)+INDEX($D$2:$E$14,MATCH(K8,$C$2:$C$14,0),2)</f>
        <v>3.0000021700300001</v>
      </c>
      <c r="Q8" s="6">
        <f t="shared" si="4"/>
        <v>-136299.69894162001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-134399.70170361997</v>
      </c>
      <c r="U8" s="50">
        <f t="shared" si="7"/>
        <v>-0.99999783998999991</v>
      </c>
      <c r="V8" s="50">
        <f t="shared" si="8"/>
        <v>0.99999783998999991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61.833335473333335</v>
      </c>
      <c r="X8" s="43">
        <v>7</v>
      </c>
      <c r="Y8" s="51">
        <f t="shared" si="9"/>
        <v>63.538463658461538</v>
      </c>
      <c r="Z8" s="51"/>
      <c r="AA8" s="51">
        <f t="shared" si="10"/>
        <v>63.538463658461538</v>
      </c>
      <c r="AB8" s="43" t="str">
        <f t="shared" si="11"/>
        <v>Míra Šedivý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Pavel Pernekr</v>
      </c>
      <c r="K9" s="41">
        <f t="shared" si="3"/>
        <v>-0.99999783998999991</v>
      </c>
      <c r="L9" s="141">
        <f>INDEX(Tabulka!$A$4:$AF$84,MATCH(J9,Tabulka!$A$4:$A$84,0)-1,31)+INDEX($D$2:$E$14,MATCH(K9,$C$2:$C$14,0),2)</f>
        <v>3.0000021500699998</v>
      </c>
      <c r="M9" s="141">
        <f>INDEX(Tabulka!$A$4:$AF$80,MATCH(List4!$J9,Tabulka!$A$4:$A$80,0)+3,31)+INDEX($D$2:$E$14,MATCH(K9,$C$2:$C$14,0),2)</f>
        <v>36.00000215</v>
      </c>
      <c r="N9" s="141">
        <f>INDEX(Tabulka!$B$4:$AF$84,MATCH(J9,Tabulka!$A$4:$A$84,0),30)+INDEX($D$2:$E$14,MATCH(K9,$C$2:$C$14,0),2)</f>
        <v>4.0000021500600003</v>
      </c>
      <c r="O9" s="141">
        <f>INDEX(Tabulka!$B$4:$AF$84,MATCH(J9,Tabulka!$A$4:$A$84,0)+2,30)+INDEX($D$2:$E$14,MATCH(K9,$C$2:$C$14,0),2)</f>
        <v>6.0000021500400003</v>
      </c>
      <c r="P9" s="141">
        <f>INDEX(Tabulka!$B$4:$AF$84,MATCH(J9,Tabulka!$A$4:$A$84,0)+1,30)+INDEX($D$2:$E$14,MATCH(K9,$C$2:$C$14,0),2)</f>
        <v>5.0000021500600003</v>
      </c>
      <c r="Q9" s="6">
        <f t="shared" si="4"/>
        <v>-134399.70170361997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Chalupník</v>
      </c>
      <c r="T9" s="49">
        <f t="shared" si="6"/>
        <v>-136299.69894162001</v>
      </c>
      <c r="U9" s="50">
        <f t="shared" si="7"/>
        <v>-0.99999781998999993</v>
      </c>
      <c r="V9" s="50">
        <f t="shared" si="8"/>
        <v>0.99999781998999993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99.470590365294115</v>
      </c>
      <c r="X9" s="43">
        <v>8</v>
      </c>
      <c r="Y9" s="51">
        <f t="shared" si="9"/>
        <v>74.585367963658527</v>
      </c>
      <c r="Z9" s="51"/>
      <c r="AA9" s="51">
        <f t="shared" si="10"/>
        <v>74.585367963658527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Šedivý</v>
      </c>
      <c r="K10" s="41">
        <f t="shared" si="3"/>
        <v>-0.99999786998999995</v>
      </c>
      <c r="L10" s="141">
        <f>INDEX(Tabulka!$A$4:$AF$84,MATCH(J10,Tabulka!$A$4:$A$84,0)-1,31)+INDEX($D$2:$E$14,MATCH(K10,$C$2:$C$14,0),2)</f>
        <v>1.00000212002</v>
      </c>
      <c r="M10" s="141">
        <f>INDEX(Tabulka!$A$4:$AF$80,MATCH(List4!$J10,Tabulka!$A$4:$A$80,0)+3,31)+INDEX($D$2:$E$14,MATCH(K10,$C$2:$C$14,0),2)</f>
        <v>13.00000212</v>
      </c>
      <c r="N10" s="141">
        <f>INDEX(Tabulka!$B$4:$AF$84,MATCH(J10,Tabulka!$A$4:$A$84,0),30)+INDEX($D$2:$E$14,MATCH(K10,$C$2:$C$14,0),2)</f>
        <v>2.00000212001</v>
      </c>
      <c r="O10" s="141">
        <f>INDEX(Tabulka!$B$4:$AF$84,MATCH(J10,Tabulka!$A$4:$A$84,0)+2,30)+INDEX($D$2:$E$14,MATCH(K10,$C$2:$C$14,0),2)</f>
        <v>4.0000021200100004</v>
      </c>
      <c r="P10" s="141">
        <f>INDEX(Tabulka!$B$4:$AF$84,MATCH(J10,Tabulka!$A$4:$A$84,0)+1,30)+INDEX($D$2:$E$14,MATCH(K10,$C$2:$C$14,0),2)</f>
        <v>3.00000212001</v>
      </c>
      <c r="Q10" s="6">
        <f t="shared" si="4"/>
        <v>-136699.70584661997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Šedivý</v>
      </c>
      <c r="T10" s="49">
        <f t="shared" si="6"/>
        <v>-136699.70584661997</v>
      </c>
      <c r="U10" s="50">
        <f t="shared" si="7"/>
        <v>-0.99999786998999995</v>
      </c>
      <c r="V10" s="50">
        <f t="shared" si="8"/>
        <v>0.99999786998999995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63.538463658461538</v>
      </c>
      <c r="X10" s="43">
        <v>9</v>
      </c>
      <c r="Y10" s="51">
        <f t="shared" si="9"/>
        <v>77.325002150000003</v>
      </c>
      <c r="Z10" s="51"/>
      <c r="AA10" s="51">
        <f t="shared" si="10"/>
        <v>77.325002150000003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-9.9999978799299978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-6.9999977899599992</v>
      </c>
      <c r="L11" s="141">
        <f>INDEX(Tabulka!$A$4:$AF$84,MATCH(J11,Tabulka!$A$4:$A$84,0)-1,31)+INDEX($D$2:$E$14,MATCH(K11,$C$2:$C$14,0),2)</f>
        <v>3.00000220009</v>
      </c>
      <c r="M11" s="141">
        <f>INDEX(Tabulka!$A$4:$AF$80,MATCH(List4!$J11,Tabulka!$A$4:$A$80,0)+3,31)+INDEX($D$2:$E$14,MATCH(K11,$C$2:$C$14,0),2)</f>
        <v>41.000002199999997</v>
      </c>
      <c r="N11" s="141">
        <f>INDEX(Tabulka!$B$4:$AF$84,MATCH(J11,Tabulka!$A$4:$A$84,0),30)+INDEX($D$2:$E$14,MATCH(K11,$C$2:$C$14,0),2)</f>
        <v>10.00000220005</v>
      </c>
      <c r="O11" s="141">
        <f>INDEX(Tabulka!$B$4:$AF$84,MATCH(J11,Tabulka!$A$4:$A$84,0)+2,30)+INDEX($D$2:$E$14,MATCH(K11,$C$2:$C$14,0),2)</f>
        <v>8.00000220007</v>
      </c>
      <c r="P11" s="141">
        <f>INDEX(Tabulka!$B$4:$AF$84,MATCH(J11,Tabulka!$A$4:$A$84,0)+1,30)+INDEX($D$2:$E$14,MATCH(K11,$C$2:$C$14,0),2)</f>
        <v>15.00000220005</v>
      </c>
      <c r="Q11" s="6">
        <f t="shared" si="4"/>
        <v>-961899.69479447987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-961899.69479447987</v>
      </c>
      <c r="U11" s="50">
        <f t="shared" si="7"/>
        <v>-6.9999977899599992</v>
      </c>
      <c r="V11" s="50">
        <f t="shared" si="8"/>
        <v>6.9999977899599992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74.585367963658527</v>
      </c>
      <c r="X11" s="43">
        <v>10</v>
      </c>
      <c r="Y11" s="51">
        <f t="shared" si="9"/>
        <v>94.064518229032259</v>
      </c>
      <c r="Z11" s="51"/>
      <c r="AA11" s="51">
        <f t="shared" si="10"/>
        <v>94.064518229032259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-9.9999978799299978</v>
      </c>
      <c r="L12" s="141">
        <f>INDEX(Tabulka!$A$4:$AF$84,MATCH(J12,Tabulka!$A$4:$A$84,0)-1,31)+INDEX($D$2:$E$14,MATCH(K12,$C$2:$C$14,0),2)</f>
        <v>2.110110000000001E-6</v>
      </c>
      <c r="M12" s="141">
        <f>INDEX(Tabulka!$A$4:$AF$80,MATCH(List4!$J12,Tabulka!$A$4:$A$80,0)+3,31)+INDEX($D$2:$E$14,MATCH(K12,$C$2:$C$14,0),2)</f>
        <v>31.00000211</v>
      </c>
      <c r="N12" s="141">
        <f>INDEX(Tabulka!$B$4:$AF$84,MATCH(J12,Tabulka!$A$4:$A$84,0),30)+INDEX($D$2:$E$14,MATCH(K12,$C$2:$C$14,0),2)</f>
        <v>10.000002110039999</v>
      </c>
      <c r="O12" s="141">
        <f>INDEX(Tabulka!$B$4:$AF$84,MATCH(J12,Tabulka!$A$4:$A$84,0)+2,30)+INDEX($D$2:$E$14,MATCH(K12,$C$2:$C$14,0),2)</f>
        <v>5.0000021100599996</v>
      </c>
      <c r="P12" s="141">
        <f>INDEX(Tabulka!$B$4:$AF$84,MATCH(J12,Tabulka!$A$4:$A$84,0)+1,30)+INDEX($D$2:$E$14,MATCH(K12,$C$2:$C$14,0),2)</f>
        <v>15.000002110039999</v>
      </c>
      <c r="Q12" s="47">
        <f t="shared" si="4"/>
        <v>-1376899.7072193397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-1376899.7072193397</v>
      </c>
      <c r="U12" s="50">
        <f t="shared" si="7"/>
        <v>-9.9999978799299978</v>
      </c>
      <c r="V12" s="50">
        <f t="shared" si="8"/>
        <v>9.9999978799299978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94.064518229032259</v>
      </c>
      <c r="X12" s="43">
        <v>11</v>
      </c>
      <c r="Y12" s="51">
        <f t="shared" si="9"/>
        <v>99.470590365294115</v>
      </c>
      <c r="Z12" s="51"/>
      <c r="AA12" s="51">
        <f t="shared" si="10"/>
        <v>99.470590365294115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11.000002099950001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2020-06-17T05:11:21Z</dcterms:modified>
  <cp:category>Volnočasové aktivity</cp:category>
  <cp:contentStatus>Probíhající</cp:contentStatus>
</cp:coreProperties>
</file>